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60" windowHeight="7470" tabRatio="931" activeTab="0"/>
  </bookViews>
  <sheets>
    <sheet name="ATV 100 СТ)" sheetId="1" r:id="rId1"/>
  </sheets>
  <definedNames>
    <definedName name="_xlnm.Print_Area" localSheetId="0">'ATV 100 СТ)'!$A$1:$Q$46</definedName>
  </definedNames>
  <calcPr fullCalcOnLoad="1"/>
</workbook>
</file>

<file path=xl/sharedStrings.xml><?xml version="1.0" encoding="utf-8"?>
<sst xmlns="http://schemas.openxmlformats.org/spreadsheetml/2006/main" count="193" uniqueCount="89">
  <si>
    <t>Ст. №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</si>
  <si>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</si>
  <si>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</si>
  <si>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</si>
  <si>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</si>
  <si>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</si>
  <si>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</si>
  <si>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</si>
  <si>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</si>
  <si>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</si>
  <si>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</si>
  <si>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</si>
  <si>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</si>
  <si>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</si>
  <si>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</si>
  <si>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</si>
  <si>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чр1</t>
  </si>
  <si>
    <t>чр2</t>
  </si>
  <si>
    <t>Город (край, район, область)</t>
  </si>
  <si>
    <t>Команда</t>
  </si>
  <si>
    <t>Сумма очков              в личном зачете</t>
  </si>
  <si>
    <t>Место</t>
  </si>
  <si>
    <t>Главный секретарь соревнований</t>
  </si>
  <si>
    <t>лично</t>
  </si>
  <si>
    <t>10 - 12 июня 2016 года.</t>
  </si>
  <si>
    <t>лич. очки.</t>
  </si>
  <si>
    <t>б/р</t>
  </si>
  <si>
    <t>Разряд</t>
  </si>
  <si>
    <t>Фамилия</t>
  </si>
  <si>
    <t>Yam</t>
  </si>
  <si>
    <t>III</t>
  </si>
  <si>
    <t>II</t>
  </si>
  <si>
    <t>г. Москва</t>
  </si>
  <si>
    <t>Московская область</t>
  </si>
  <si>
    <t>г. Серпухов, Московская область</t>
  </si>
  <si>
    <t>г. Санкт-Петербург</t>
  </si>
  <si>
    <t>СТК "Старт" г. Серпухов</t>
  </si>
  <si>
    <t>Тихонов Андрей</t>
  </si>
  <si>
    <t xml:space="preserve">MOTAX СТК "Старт" </t>
  </si>
  <si>
    <t>MOTAX</t>
  </si>
  <si>
    <t>Вырлан Ярослав</t>
  </si>
  <si>
    <t>"АВАНТИС"</t>
  </si>
  <si>
    <t>Мираж</t>
  </si>
  <si>
    <t>Китайгородский Денис</t>
  </si>
  <si>
    <t>Овсянников Матвей</t>
  </si>
  <si>
    <t>Атян Сергей</t>
  </si>
  <si>
    <t>Фонд развития мотоспорта</t>
  </si>
  <si>
    <t>Волостных Борис</t>
  </si>
  <si>
    <t>Смирнов Савватий</t>
  </si>
  <si>
    <t>ATV MX Racing</t>
  </si>
  <si>
    <t>Денисов Никита</t>
  </si>
  <si>
    <t>Темненков Андрей</t>
  </si>
  <si>
    <t>Мигурский Степан</t>
  </si>
  <si>
    <t>г. Ярославль</t>
  </si>
  <si>
    <t>АСЦ Терешковой В.В.</t>
  </si>
  <si>
    <t>"Авантис Рейсинг Тим"</t>
  </si>
  <si>
    <t>Авантис</t>
  </si>
  <si>
    <t>Мехед Никита</t>
  </si>
  <si>
    <t>г. Костомукша, Республика Карелия</t>
  </si>
  <si>
    <t>РК г. Петрозаводск</t>
  </si>
  <si>
    <t>Motax</t>
  </si>
  <si>
    <t>Серов Тимофей</t>
  </si>
  <si>
    <t>г. Озеры, Московская область</t>
  </si>
  <si>
    <t>Копоткин Лев</t>
  </si>
  <si>
    <t>Аннулирован</t>
  </si>
  <si>
    <t>Рогов Илья</t>
  </si>
  <si>
    <t>СК "Старт"</t>
  </si>
  <si>
    <t>Гусев Максим</t>
  </si>
  <si>
    <t>г. Тутаев, Ярославская область</t>
  </si>
  <si>
    <t>Skorpion</t>
  </si>
  <si>
    <t>Етчуев Никита</t>
  </si>
  <si>
    <t>Олонецкий район, Республика Карелия</t>
  </si>
  <si>
    <t>Ростовцев Никита</t>
  </si>
  <si>
    <t>Богданов Егор</t>
  </si>
  <si>
    <t>Скворцова Яна</t>
  </si>
  <si>
    <t>Соколов Артемий</t>
  </si>
  <si>
    <t>г. Питкарянта, Республика Карелия</t>
  </si>
  <si>
    <t>"Республика Карелия г. Петрозаводск"</t>
  </si>
  <si>
    <t>Меккоева Олеся</t>
  </si>
  <si>
    <t>Романов Матвей</t>
  </si>
  <si>
    <t>Атапов Егор</t>
  </si>
  <si>
    <t>Kayo</t>
  </si>
  <si>
    <t>-</t>
  </si>
  <si>
    <t>Главный судья соревнований</t>
  </si>
  <si>
    <t>судья Всероссийской категории:                                                                 Э. А. Иванов (г. Кострома, свидетельство МФР А 165)</t>
  </si>
  <si>
    <t>судья Всероссийской категории:                             А. Ю. Иванов (г. Ульяновск; свидетельство МФР А 105; FIM 12089/11245)</t>
  </si>
  <si>
    <t>ИТОГОВЫЙ ПРОТОКОЛ  ЛИЧНОГО  ЗАЧЕТА</t>
  </si>
  <si>
    <t>1-й этап: 20 - 23 апреля 2018 года - г. Волгоград; 2-й этап: 06 - 09 июля 2018 года - г. Кириллов, вологодская область.</t>
  </si>
  <si>
    <t>Класс "КВАДРОЦИКЛЫ" 100 Стандарт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</si>
</sst>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sz val="14"/>
      <color indexed="63"/>
      <name val="Times New Roman"/>
      <family val="1"/>
    </font>
    <font>
      <b/>
      <sz val="1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23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 locked="0"/>
    </xf>
    <xf numFmtId="0" fontId="3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3" fillId="33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9" fillId="35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 locked="0"/>
    </xf>
    <xf numFmtId="0" fontId="3" fillId="35" borderId="29" xfId="0" applyFont="1" applyFill="1" applyBorder="1" applyAlignment="1" applyProtection="1">
      <alignment horizontal="center" vertical="center" wrapText="1"/>
      <protection locked="0"/>
    </xf>
    <xf numFmtId="0" fontId="6" fillId="35" borderId="29" xfId="0" applyFont="1" applyFill="1" applyBorder="1" applyAlignment="1" applyProtection="1">
      <alignment horizontal="center" vertical="center" wrapText="1"/>
      <protection locked="0"/>
    </xf>
    <xf numFmtId="0" fontId="3" fillId="35" borderId="29" xfId="0" applyFont="1" applyFill="1" applyBorder="1" applyAlignment="1" applyProtection="1">
      <alignment horizontal="center" vertical="center" wrapText="1"/>
      <protection locked="0"/>
    </xf>
    <xf numFmtId="0" fontId="3" fillId="35" borderId="30" xfId="0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horizontal="center" vertical="center" wrapText="1"/>
      <protection locked="0"/>
    </xf>
    <xf numFmtId="0" fontId="9" fillId="35" borderId="32" xfId="0" applyFont="1" applyFill="1" applyBorder="1" applyAlignment="1" applyProtection="1">
      <alignment horizontal="center" vertical="center" wrapText="1"/>
      <protection locked="0"/>
    </xf>
    <xf numFmtId="0" fontId="9" fillId="35" borderId="33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9" fillId="33" borderId="0" xfId="0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9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3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0" fontId="3" fillId="33" borderId="37" xfId="0" applyFont="1" applyFill="1" applyBorder="1" applyAlignment="1" applyProtection="1">
      <alignment horizontal="center" vertical="center" wrapText="1"/>
      <protection locked="0"/>
    </xf>
    <xf numFmtId="0" fontId="2" fillId="33" borderId="38" xfId="0" applyFont="1" applyFill="1" applyBorder="1" applyAlignment="1" applyProtection="1">
      <alignment horizontal="center" vertical="center" wrapText="1"/>
      <protection locked="0"/>
    </xf>
    <xf numFmtId="0" fontId="3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 applyProtection="1">
      <alignment horizontal="center" vertical="center" wrapText="1"/>
      <protection locked="0"/>
    </xf>
    <xf numFmtId="0" fontId="3" fillId="33" borderId="4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37" borderId="22" xfId="0" applyFont="1" applyFill="1" applyBorder="1" applyAlignment="1" applyProtection="1">
      <alignment horizontal="center" vertical="center" wrapText="1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 locked="0"/>
    </xf>
    <xf numFmtId="0" fontId="3" fillId="37" borderId="23" xfId="0" applyFont="1" applyFill="1" applyBorder="1" applyAlignment="1" applyProtection="1">
      <alignment horizontal="center" vertical="center" wrapText="1"/>
      <protection locked="0"/>
    </xf>
    <xf numFmtId="0" fontId="8" fillId="36" borderId="2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9" fillId="36" borderId="23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266700</xdr:colOff>
      <xdr:row>2</xdr:row>
      <xdr:rowOff>219075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81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0</xdr:row>
      <xdr:rowOff>133350</xdr:rowOff>
    </xdr:from>
    <xdr:to>
      <xdr:col>15</xdr:col>
      <xdr:colOff>838200</xdr:colOff>
      <xdr:row>1</xdr:row>
      <xdr:rowOff>57150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20975" y="133350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0</xdr:row>
      <xdr:rowOff>142875</xdr:rowOff>
    </xdr:from>
    <xdr:to>
      <xdr:col>9</xdr:col>
      <xdr:colOff>314325</xdr:colOff>
      <xdr:row>1</xdr:row>
      <xdr:rowOff>19050</xdr:rowOff>
    </xdr:to>
    <xdr:sp>
      <xdr:nvSpPr>
        <xdr:cNvPr id="3" name="WordArt 4"/>
        <xdr:cNvSpPr>
          <a:spLocks/>
        </xdr:cNvSpPr>
      </xdr:nvSpPr>
      <xdr:spPr>
        <a:xfrm>
          <a:off x="3676650" y="142875"/>
          <a:ext cx="844867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10</xdr:col>
      <xdr:colOff>600075</xdr:colOff>
      <xdr:row>0</xdr:row>
      <xdr:rowOff>171450</xdr:rowOff>
    </xdr:from>
    <xdr:to>
      <xdr:col>12</xdr:col>
      <xdr:colOff>342900</xdr:colOff>
      <xdr:row>1</xdr:row>
      <xdr:rowOff>190500</xdr:rowOff>
    </xdr:to>
    <xdr:pic>
      <xdr:nvPicPr>
        <xdr:cNvPr id="4" name="Рисунок 5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77825" y="171450"/>
          <a:ext cx="1076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1343025</xdr:colOff>
      <xdr:row>0</xdr:row>
      <xdr:rowOff>95250</xdr:rowOff>
    </xdr:from>
    <xdr:to>
      <xdr:col>8</xdr:col>
      <xdr:colOff>409575</xdr:colOff>
      <xdr:row>0</xdr:row>
      <xdr:rowOff>561975</xdr:rowOff>
    </xdr:to>
    <xdr:sp>
      <xdr:nvSpPr>
        <xdr:cNvPr id="5" name="WordArt 4"/>
        <xdr:cNvSpPr>
          <a:spLocks/>
        </xdr:cNvSpPr>
      </xdr:nvSpPr>
      <xdr:spPr>
        <a:xfrm>
          <a:off x="5191125" y="95250"/>
          <a:ext cx="63627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ФЕДЕРАЦИЯ МОТОЦИКЛЕТНОГО СПОРТА РОССИИ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5"/>
  <dimension ref="A1:IV37"/>
  <sheetViews>
    <sheetView tabSelected="1" view="pageBreakPreview" zoomScale="80" zoomScaleNormal="60" zoomScaleSheetLayoutView="80" zoomScalePageLayoutView="75" workbookViewId="0" topLeftCell="A1">
      <selection activeCell="G15" sqref="G15"/>
    </sheetView>
  </sheetViews>
  <sheetFormatPr defaultColWidth="0" defaultRowHeight="12.75"/>
  <cols>
    <col min="1" max="1" width="11.00390625" style="21" customWidth="1"/>
    <col min="2" max="2" width="8.7109375" style="21" bestFit="1" customWidth="1"/>
    <col min="3" max="3" width="28.8515625" style="21" customWidth="1"/>
    <col min="4" max="4" width="9.140625" style="21" customWidth="1"/>
    <col min="5" max="5" width="43.57421875" style="21" customWidth="1"/>
    <col min="6" max="6" width="40.7109375" style="21" customWidth="1"/>
    <col min="7" max="7" width="15.140625" style="21" customWidth="1"/>
    <col min="8" max="15" width="10.00390625" style="21" customWidth="1"/>
    <col min="16" max="16" width="20.57421875" style="21" customWidth="1"/>
    <col min="17" max="17" width="22.140625" style="3" hidden="1" customWidth="1"/>
    <col min="18" max="18" width="0" style="1" hidden="1" customWidth="1"/>
    <col min="19" max="19" width="7.57421875" style="3" hidden="1" customWidth="1"/>
    <col min="20" max="20" width="12.421875" style="3" hidden="1" customWidth="1"/>
    <col min="21" max="21" width="16.57421875" style="3" hidden="1" customWidth="1"/>
    <col min="22" max="28" width="12.421875" style="3" hidden="1" customWidth="1"/>
    <col min="29" max="30" width="13.140625" style="3" hidden="1" customWidth="1"/>
    <col min="31" max="40" width="12.421875" style="3" hidden="1" customWidth="1"/>
    <col min="41" max="41" width="13.7109375" style="3" hidden="1" customWidth="1"/>
    <col min="42" max="42" width="11.8515625" style="3" hidden="1" customWidth="1"/>
    <col min="43" max="43" width="16.28125" style="3" hidden="1" customWidth="1"/>
    <col min="44" max="51" width="12.00390625" style="3" hidden="1" customWidth="1"/>
    <col min="52" max="53" width="12.7109375" style="3" hidden="1" customWidth="1"/>
    <col min="54" max="63" width="12.00390625" style="3" hidden="1" customWidth="1"/>
    <col min="64" max="64" width="13.28125" style="3" hidden="1" customWidth="1"/>
    <col min="65" max="65" width="13.57421875" style="3" hidden="1" customWidth="1"/>
    <col min="66" max="66" width="19.00390625" style="3" hidden="1" customWidth="1"/>
    <col min="67" max="74" width="12.421875" style="3" hidden="1" customWidth="1"/>
    <col min="75" max="96" width="13.140625" style="3" hidden="1" customWidth="1"/>
    <col min="97" max="106" width="12.421875" style="3" hidden="1" customWidth="1"/>
    <col min="107" max="107" width="13.7109375" style="3" hidden="1" customWidth="1"/>
    <col min="108" max="108" width="12.8515625" style="3" hidden="1" customWidth="1"/>
    <col min="109" max="109" width="18.7109375" style="3" hidden="1" customWidth="1"/>
    <col min="110" max="117" width="12.00390625" style="3" hidden="1" customWidth="1"/>
    <col min="118" max="131" width="12.7109375" style="3" hidden="1" customWidth="1"/>
    <col min="132" max="134" width="12.7109375" style="1" hidden="1" customWidth="1"/>
    <col min="135" max="139" width="12.7109375" style="3" hidden="1" customWidth="1"/>
    <col min="140" max="149" width="12.00390625" style="3" hidden="1" customWidth="1"/>
    <col min="150" max="150" width="13.28125" style="3" hidden="1" customWidth="1"/>
    <col min="151" max="151" width="13.140625" style="3" hidden="1" customWidth="1"/>
    <col min="152" max="152" width="8.7109375" style="4" hidden="1" customWidth="1"/>
    <col min="153" max="153" width="32.00390625" style="4" hidden="1" customWidth="1"/>
    <col min="154" max="154" width="30.57421875" style="4" hidden="1" customWidth="1"/>
    <col min="155" max="155" width="3.7109375" style="4" hidden="1" customWidth="1"/>
    <col min="156" max="156" width="11.7109375" style="4" hidden="1" customWidth="1"/>
    <col min="157" max="157" width="49.7109375" style="3" hidden="1" customWidth="1"/>
    <col min="158" max="158" width="33.140625" style="3" hidden="1" customWidth="1"/>
    <col min="159" max="159" width="51.421875" style="3" hidden="1" customWidth="1"/>
    <col min="160" max="160" width="9.57421875" style="3" hidden="1" customWidth="1"/>
    <col min="161" max="162" width="2.8515625" style="3" hidden="1" customWidth="1"/>
    <col min="163" max="163" width="5.421875" style="3" hidden="1" customWidth="1"/>
    <col min="164" max="164" width="12.421875" style="3" hidden="1" customWidth="1"/>
    <col min="165" max="165" width="16.57421875" style="3" hidden="1" customWidth="1"/>
    <col min="166" max="172" width="12.421875" style="3" hidden="1" customWidth="1"/>
    <col min="173" max="174" width="13.140625" style="3" hidden="1" customWidth="1"/>
    <col min="175" max="184" width="12.421875" style="3" hidden="1" customWidth="1"/>
    <col min="185" max="185" width="13.7109375" style="3" hidden="1" customWidth="1"/>
    <col min="186" max="186" width="13.140625" style="3" hidden="1" customWidth="1"/>
    <col min="187" max="187" width="16.28125" style="3" hidden="1" customWidth="1"/>
    <col min="188" max="195" width="12.00390625" style="3" hidden="1" customWidth="1"/>
    <col min="196" max="197" width="12.7109375" style="3" hidden="1" customWidth="1"/>
    <col min="198" max="207" width="12.00390625" style="3" hidden="1" customWidth="1"/>
    <col min="208" max="208" width="13.28125" style="3" hidden="1" customWidth="1"/>
    <col min="209" max="209" width="13.57421875" style="3" hidden="1" customWidth="1"/>
    <col min="210" max="210" width="19.00390625" style="3" hidden="1" customWidth="1"/>
    <col min="211" max="218" width="12.421875" style="3" hidden="1" customWidth="1"/>
    <col min="219" max="229" width="13.140625" style="3" hidden="1" customWidth="1"/>
    <col min="230" max="230" width="12.421875" style="3" hidden="1" customWidth="1"/>
    <col min="231" max="231" width="13.7109375" style="3" hidden="1" customWidth="1"/>
    <col min="232" max="232" width="13.28125" style="3" hidden="1" customWidth="1"/>
    <col min="233" max="233" width="18.7109375" style="3" hidden="1" customWidth="1"/>
    <col min="234" max="241" width="12.00390625" style="3" hidden="1" customWidth="1"/>
    <col min="242" max="252" width="12.7109375" style="3" hidden="1" customWidth="1"/>
    <col min="253" max="253" width="12.00390625" style="3" hidden="1" customWidth="1"/>
    <col min="254" max="254" width="13.28125" style="3" hidden="1" customWidth="1"/>
    <col min="255" max="255" width="12.7109375" style="3" hidden="1" customWidth="1"/>
    <col min="256" max="16384" width="10.7109375" style="3" hidden="1" customWidth="1"/>
  </cols>
  <sheetData>
    <row r="1" spans="1:19" ht="46.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S1" s="2"/>
    </row>
    <row r="2" spans="1:19" ht="24" customHeight="1">
      <c r="A2" s="91" t="s">
        <v>86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S2" s="2"/>
    </row>
    <row r="3" spans="1:19" ht="19.5" customHeight="1">
      <c r="A3" s="79" t="s">
        <v>87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25" t="s">
        <v>24</v>
      </c>
      <c r="S3" s="5"/>
    </row>
    <row r="4" spans="1:19" ht="18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S4" s="5"/>
    </row>
    <row r="5" spans="1:256" ht="24" customHeight="1">
      <c r="A5" s="80" t="s">
        <v>88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S5" s="4"/>
      <c r="FH5" s="6"/>
      <c r="FI5" s="6"/>
      <c r="FJ5" s="6"/>
      <c r="FK5" s="7"/>
      <c r="FL5" s="7"/>
      <c r="FM5" s="7"/>
      <c r="FN5" s="7"/>
      <c r="FO5" s="8"/>
      <c r="FP5" s="8"/>
      <c r="FQ5" s="8"/>
      <c r="FR5" s="8"/>
      <c r="FS5" s="8"/>
      <c r="FT5" s="8" t="s">
        <v>15</v>
      </c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0.5" customHeight="1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  <c r="L6" s="12"/>
      <c r="M6" s="12"/>
      <c r="N6" s="12"/>
      <c r="O6" s="13"/>
      <c r="P6" s="14"/>
      <c r="Q6" s="10"/>
      <c r="S6" s="11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9"/>
    </row>
    <row r="7" spans="1:256" ht="19.5" customHeight="1" thickBot="1">
      <c r="A7" s="81" t="s">
        <v>21</v>
      </c>
      <c r="B7" s="81" t="s">
        <v>0</v>
      </c>
      <c r="C7" s="81" t="s">
        <v>28</v>
      </c>
      <c r="D7" s="81" t="s">
        <v>27</v>
      </c>
      <c r="E7" s="81" t="s">
        <v>18</v>
      </c>
      <c r="F7" s="81" t="s">
        <v>19</v>
      </c>
      <c r="G7" s="81" t="s">
        <v>1</v>
      </c>
      <c r="H7" s="84" t="s">
        <v>2</v>
      </c>
      <c r="I7" s="85"/>
      <c r="J7" s="84" t="s">
        <v>3</v>
      </c>
      <c r="K7" s="85"/>
      <c r="L7" s="84" t="s">
        <v>2</v>
      </c>
      <c r="M7" s="85"/>
      <c r="N7" s="84" t="s">
        <v>3</v>
      </c>
      <c r="O7" s="85"/>
      <c r="P7" s="81" t="s">
        <v>20</v>
      </c>
      <c r="Q7" s="92" t="s">
        <v>13</v>
      </c>
      <c r="S7" s="15"/>
      <c r="FD7" s="4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9"/>
    </row>
    <row r="8" spans="1:256" ht="18.75" customHeight="1">
      <c r="A8" s="83"/>
      <c r="B8" s="82"/>
      <c r="C8" s="82"/>
      <c r="D8" s="83"/>
      <c r="E8" s="83"/>
      <c r="F8" s="82"/>
      <c r="G8" s="83"/>
      <c r="H8" s="86" t="s">
        <v>10</v>
      </c>
      <c r="I8" s="88" t="s">
        <v>25</v>
      </c>
      <c r="J8" s="86" t="s">
        <v>10</v>
      </c>
      <c r="K8" s="88" t="s">
        <v>25</v>
      </c>
      <c r="L8" s="86" t="s">
        <v>10</v>
      </c>
      <c r="M8" s="88" t="s">
        <v>25</v>
      </c>
      <c r="N8" s="86" t="s">
        <v>10</v>
      </c>
      <c r="O8" s="88" t="s">
        <v>25</v>
      </c>
      <c r="P8" s="83"/>
      <c r="Q8" s="93"/>
      <c r="S8" s="15"/>
      <c r="U8" s="3" t="s">
        <v>6</v>
      </c>
      <c r="AQ8" s="3" t="s">
        <v>7</v>
      </c>
      <c r="BN8" s="3" t="s">
        <v>8</v>
      </c>
      <c r="DE8" s="3" t="s">
        <v>9</v>
      </c>
      <c r="EW8" s="4">
        <v>1</v>
      </c>
      <c r="EX8" s="4">
        <v>2</v>
      </c>
      <c r="FH8" s="6"/>
      <c r="FI8" s="6"/>
      <c r="FJ8" s="6"/>
      <c r="FK8" s="7"/>
      <c r="FL8" s="7"/>
      <c r="FM8" s="7"/>
      <c r="FN8" s="7"/>
      <c r="FO8" s="8"/>
      <c r="FP8" s="8"/>
      <c r="FQ8" s="8"/>
      <c r="FR8" s="8"/>
      <c r="FS8" s="8"/>
      <c r="FT8" s="8" t="s">
        <v>15</v>
      </c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9.5" thickBot="1">
      <c r="A9" s="83"/>
      <c r="B9" s="82"/>
      <c r="C9" s="82"/>
      <c r="D9" s="83"/>
      <c r="E9" s="83"/>
      <c r="F9" s="82"/>
      <c r="G9" s="83"/>
      <c r="H9" s="87"/>
      <c r="I9" s="89"/>
      <c r="J9" s="87"/>
      <c r="K9" s="89"/>
      <c r="L9" s="87"/>
      <c r="M9" s="89"/>
      <c r="N9" s="87"/>
      <c r="O9" s="89"/>
      <c r="P9" s="83"/>
      <c r="Q9" s="94"/>
      <c r="S9" s="16"/>
      <c r="T9" s="3">
        <v>1</v>
      </c>
      <c r="U9" s="3">
        <v>2</v>
      </c>
      <c r="V9" s="3">
        <v>3</v>
      </c>
      <c r="W9" s="3">
        <v>4</v>
      </c>
      <c r="X9" s="3">
        <v>5</v>
      </c>
      <c r="Y9" s="3">
        <v>6</v>
      </c>
      <c r="Z9" s="3">
        <v>7</v>
      </c>
      <c r="AA9" s="3">
        <v>8</v>
      </c>
      <c r="AB9" s="3">
        <v>9</v>
      </c>
      <c r="AC9" s="3">
        <v>10</v>
      </c>
      <c r="AD9" s="3">
        <v>11</v>
      </c>
      <c r="AE9" s="3">
        <v>12</v>
      </c>
      <c r="AF9" s="3">
        <v>13</v>
      </c>
      <c r="AG9" s="3">
        <v>14</v>
      </c>
      <c r="AH9" s="3">
        <v>15</v>
      </c>
      <c r="AI9" s="3">
        <v>16</v>
      </c>
      <c r="AJ9" s="3">
        <v>17</v>
      </c>
      <c r="AK9" s="3">
        <v>18</v>
      </c>
      <c r="AL9" s="3">
        <v>19</v>
      </c>
      <c r="AM9" s="3">
        <v>20</v>
      </c>
      <c r="AN9" s="3">
        <v>21</v>
      </c>
      <c r="AO9" s="3" t="s">
        <v>4</v>
      </c>
      <c r="AQ9" s="3">
        <v>1</v>
      </c>
      <c r="AR9" s="3">
        <v>2</v>
      </c>
      <c r="AS9" s="3">
        <v>3</v>
      </c>
      <c r="AT9" s="3">
        <v>4</v>
      </c>
      <c r="AU9" s="3">
        <v>5</v>
      </c>
      <c r="AV9" s="3">
        <v>6</v>
      </c>
      <c r="AW9" s="3">
        <v>7</v>
      </c>
      <c r="AX9" s="3">
        <v>8</v>
      </c>
      <c r="AY9" s="3">
        <v>9</v>
      </c>
      <c r="AZ9" s="3">
        <v>10</v>
      </c>
      <c r="BA9" s="3">
        <v>11</v>
      </c>
      <c r="BB9" s="3">
        <v>12</v>
      </c>
      <c r="BC9" s="3">
        <v>13</v>
      </c>
      <c r="BD9" s="3">
        <v>14</v>
      </c>
      <c r="BE9" s="3">
        <v>15</v>
      </c>
      <c r="BF9" s="3">
        <v>16</v>
      </c>
      <c r="BG9" s="3">
        <v>17</v>
      </c>
      <c r="BH9" s="3">
        <v>18</v>
      </c>
      <c r="BI9" s="3">
        <v>19</v>
      </c>
      <c r="BJ9" s="3">
        <v>20</v>
      </c>
      <c r="BL9" s="3" t="s">
        <v>5</v>
      </c>
      <c r="BN9" s="3">
        <v>1</v>
      </c>
      <c r="BO9" s="3">
        <v>2</v>
      </c>
      <c r="BP9" s="3">
        <v>3</v>
      </c>
      <c r="BQ9" s="3">
        <v>4</v>
      </c>
      <c r="BR9" s="3">
        <v>5</v>
      </c>
      <c r="BS9" s="3">
        <v>6</v>
      </c>
      <c r="BT9" s="3">
        <v>7</v>
      </c>
      <c r="BU9" s="3">
        <v>8</v>
      </c>
      <c r="BV9" s="3">
        <v>9</v>
      </c>
      <c r="BW9" s="3">
        <v>10</v>
      </c>
      <c r="BX9" s="3">
        <v>11</v>
      </c>
      <c r="BY9" s="3">
        <v>12</v>
      </c>
      <c r="BZ9" s="3">
        <v>13</v>
      </c>
      <c r="CA9" s="3">
        <v>14</v>
      </c>
      <c r="CB9" s="3">
        <v>15</v>
      </c>
      <c r="CC9" s="3">
        <v>16</v>
      </c>
      <c r="CD9" s="3">
        <v>17</v>
      </c>
      <c r="CE9" s="3">
        <v>18</v>
      </c>
      <c r="CF9" s="3">
        <v>19</v>
      </c>
      <c r="CG9" s="3">
        <v>20</v>
      </c>
      <c r="CH9" s="3">
        <v>21</v>
      </c>
      <c r="CI9" s="3">
        <v>22</v>
      </c>
      <c r="CJ9" s="3">
        <v>23</v>
      </c>
      <c r="CK9" s="3">
        <v>24</v>
      </c>
      <c r="CL9" s="3">
        <v>25</v>
      </c>
      <c r="CM9" s="3">
        <v>26</v>
      </c>
      <c r="CN9" s="3">
        <v>27</v>
      </c>
      <c r="CO9" s="3">
        <v>28</v>
      </c>
      <c r="CP9" s="3">
        <v>29</v>
      </c>
      <c r="CQ9" s="3">
        <v>30</v>
      </c>
      <c r="CR9" s="3">
        <v>31</v>
      </c>
      <c r="CS9" s="3">
        <v>32</v>
      </c>
      <c r="CT9" s="3">
        <v>33</v>
      </c>
      <c r="CU9" s="3">
        <v>34</v>
      </c>
      <c r="CV9" s="3">
        <v>35</v>
      </c>
      <c r="CW9" s="3">
        <v>36</v>
      </c>
      <c r="CX9" s="3">
        <v>37</v>
      </c>
      <c r="CY9" s="3">
        <v>38</v>
      </c>
      <c r="CZ9" s="3">
        <v>39</v>
      </c>
      <c r="DA9" s="3">
        <v>40</v>
      </c>
      <c r="DE9" s="3">
        <v>1</v>
      </c>
      <c r="DF9" s="3">
        <v>2</v>
      </c>
      <c r="DG9" s="3">
        <v>3</v>
      </c>
      <c r="DH9" s="3">
        <v>4</v>
      </c>
      <c r="DI9" s="3">
        <v>5</v>
      </c>
      <c r="DJ9" s="3">
        <v>6</v>
      </c>
      <c r="DK9" s="3">
        <v>7</v>
      </c>
      <c r="DL9" s="3">
        <v>8</v>
      </c>
      <c r="DM9" s="3">
        <v>9</v>
      </c>
      <c r="DN9" s="3">
        <v>10</v>
      </c>
      <c r="DO9" s="3">
        <v>11</v>
      </c>
      <c r="DP9" s="3">
        <v>12</v>
      </c>
      <c r="DQ9" s="3">
        <v>13</v>
      </c>
      <c r="DR9" s="3">
        <v>14</v>
      </c>
      <c r="DS9" s="3">
        <v>15</v>
      </c>
      <c r="DT9" s="3">
        <v>16</v>
      </c>
      <c r="DU9" s="3">
        <v>17</v>
      </c>
      <c r="DV9" s="3">
        <v>18</v>
      </c>
      <c r="DW9" s="3">
        <v>19</v>
      </c>
      <c r="DX9" s="3">
        <v>20</v>
      </c>
      <c r="DY9" s="3">
        <v>21</v>
      </c>
      <c r="DZ9" s="3">
        <v>22</v>
      </c>
      <c r="EA9" s="3">
        <v>23</v>
      </c>
      <c r="EB9" s="3">
        <v>24</v>
      </c>
      <c r="EC9" s="3">
        <v>25</v>
      </c>
      <c r="ED9" s="3">
        <v>26</v>
      </c>
      <c r="EE9" s="3">
        <v>27</v>
      </c>
      <c r="EF9" s="3">
        <v>28</v>
      </c>
      <c r="EG9" s="3">
        <v>29</v>
      </c>
      <c r="EH9" s="3">
        <v>30</v>
      </c>
      <c r="EI9" s="3">
        <v>31</v>
      </c>
      <c r="EJ9" s="3">
        <v>32</v>
      </c>
      <c r="EK9" s="3">
        <v>33</v>
      </c>
      <c r="EL9" s="3">
        <v>34</v>
      </c>
      <c r="EM9" s="3">
        <v>35</v>
      </c>
      <c r="EN9" s="3">
        <v>36</v>
      </c>
      <c r="EO9" s="3">
        <v>37</v>
      </c>
      <c r="EP9" s="3">
        <v>38</v>
      </c>
      <c r="EQ9" s="3">
        <v>39</v>
      </c>
      <c r="ER9" s="3">
        <v>40</v>
      </c>
      <c r="EZ9" s="4" t="s">
        <v>14</v>
      </c>
      <c r="FA9" s="3" t="s">
        <v>11</v>
      </c>
      <c r="FB9" s="3" t="s">
        <v>12</v>
      </c>
      <c r="FC9" s="17" t="s">
        <v>10</v>
      </c>
      <c r="FE9" s="3" t="s">
        <v>16</v>
      </c>
      <c r="FF9" s="3" t="s">
        <v>17</v>
      </c>
      <c r="FH9" s="8"/>
      <c r="FI9" s="8" t="s">
        <v>6</v>
      </c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 t="s">
        <v>7</v>
      </c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 t="s">
        <v>8</v>
      </c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 t="s">
        <v>9</v>
      </c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9"/>
    </row>
    <row r="10" spans="1:255" s="18" customFormat="1" ht="18.75">
      <c r="A10" s="47">
        <v>1</v>
      </c>
      <c r="B10" s="99">
        <v>33</v>
      </c>
      <c r="C10" s="58" t="s">
        <v>48</v>
      </c>
      <c r="D10" s="53" t="s">
        <v>26</v>
      </c>
      <c r="E10" s="58" t="s">
        <v>35</v>
      </c>
      <c r="F10" s="53" t="s">
        <v>49</v>
      </c>
      <c r="G10" s="58" t="s">
        <v>29</v>
      </c>
      <c r="H10" s="42">
        <v>1</v>
      </c>
      <c r="I10" s="46">
        <v>25</v>
      </c>
      <c r="J10" s="27">
        <v>4</v>
      </c>
      <c r="K10" s="64">
        <v>18</v>
      </c>
      <c r="L10" s="63">
        <v>1</v>
      </c>
      <c r="M10" s="46">
        <v>25</v>
      </c>
      <c r="N10" s="27">
        <v>3</v>
      </c>
      <c r="O10" s="69">
        <v>20</v>
      </c>
      <c r="P10" s="96">
        <f aca="true" t="shared" si="0" ref="P10:P32">SUM(I10+K10+M10+O10)</f>
        <v>88</v>
      </c>
      <c r="Q10" s="30" t="e">
        <f>I10+#REF!</f>
        <v>#REF!</v>
      </c>
      <c r="S10" s="19"/>
      <c r="T10" s="18">
        <f>IF(H10=1,25,0)</f>
        <v>25</v>
      </c>
      <c r="U10" s="18">
        <f>IF(H10=2,22,0)</f>
        <v>0</v>
      </c>
      <c r="V10" s="18">
        <f>IF(H10=3,20,0)</f>
        <v>0</v>
      </c>
      <c r="W10" s="18">
        <f>IF(H10=4,18,0)</f>
        <v>0</v>
      </c>
      <c r="X10" s="18">
        <f>IF(H10=5,16,0)</f>
        <v>0</v>
      </c>
      <c r="Y10" s="18">
        <f>IF(H10=6,15,0)</f>
        <v>0</v>
      </c>
      <c r="Z10" s="18">
        <f>IF(H10=7,14,0)</f>
        <v>0</v>
      </c>
      <c r="AA10" s="18">
        <f>IF(H10=8,13,0)</f>
        <v>0</v>
      </c>
      <c r="AB10" s="18">
        <f>IF(H10=9,12,0)</f>
        <v>0</v>
      </c>
      <c r="AC10" s="18">
        <f>IF(H10=10,11,0)</f>
        <v>0</v>
      </c>
      <c r="AD10" s="18">
        <f>IF(H10=11,10,0)</f>
        <v>0</v>
      </c>
      <c r="AE10" s="18">
        <f>IF(H10=12,9,0)</f>
        <v>0</v>
      </c>
      <c r="AF10" s="18">
        <f>IF(H10=13,8,0)</f>
        <v>0</v>
      </c>
      <c r="AG10" s="18">
        <f>IF(H10=14,7,0)</f>
        <v>0</v>
      </c>
      <c r="AH10" s="18">
        <f>IF(H10=15,6,0)</f>
        <v>0</v>
      </c>
      <c r="AI10" s="18">
        <f>IF(H10=16,5,0)</f>
        <v>0</v>
      </c>
      <c r="AJ10" s="18">
        <f>IF(H10=17,4,0)</f>
        <v>0</v>
      </c>
      <c r="AK10" s="18">
        <f>IF(H10=18,3,0)</f>
        <v>0</v>
      </c>
      <c r="AL10" s="18">
        <f>IF(H10=19,2,0)</f>
        <v>0</v>
      </c>
      <c r="AM10" s="18">
        <f>IF(H10=20,1,0)</f>
        <v>0</v>
      </c>
      <c r="AN10" s="18">
        <f>IF(H10&gt;20,0,0)</f>
        <v>0</v>
      </c>
      <c r="AO10" s="18">
        <f>IF(H10="сх",0,0)</f>
        <v>0</v>
      </c>
      <c r="AP10" s="18">
        <f>SUM(T10:AN10)</f>
        <v>25</v>
      </c>
      <c r="AQ10" s="18" t="e">
        <f>IF(#REF!=1,25,0)</f>
        <v>#REF!</v>
      </c>
      <c r="AR10" s="18" t="e">
        <f>IF(#REF!=2,22,0)</f>
        <v>#REF!</v>
      </c>
      <c r="AS10" s="18" t="e">
        <f>IF(#REF!=3,20,0)</f>
        <v>#REF!</v>
      </c>
      <c r="AT10" s="18" t="e">
        <f>IF(#REF!=4,18,0)</f>
        <v>#REF!</v>
      </c>
      <c r="AU10" s="18" t="e">
        <f>IF(#REF!=5,16,0)</f>
        <v>#REF!</v>
      </c>
      <c r="AV10" s="18" t="e">
        <f>IF(#REF!=6,15,0)</f>
        <v>#REF!</v>
      </c>
      <c r="AW10" s="18" t="e">
        <f>IF(#REF!=7,14,0)</f>
        <v>#REF!</v>
      </c>
      <c r="AX10" s="18" t="e">
        <f>IF(#REF!=8,13,0)</f>
        <v>#REF!</v>
      </c>
      <c r="AY10" s="18" t="e">
        <f>IF(#REF!=9,12,0)</f>
        <v>#REF!</v>
      </c>
      <c r="AZ10" s="18" t="e">
        <f>IF(#REF!=10,11,0)</f>
        <v>#REF!</v>
      </c>
      <c r="BA10" s="18" t="e">
        <f>IF(#REF!=11,10,0)</f>
        <v>#REF!</v>
      </c>
      <c r="BB10" s="18" t="e">
        <f>IF(#REF!=12,9,0)</f>
        <v>#REF!</v>
      </c>
      <c r="BC10" s="18" t="e">
        <f>IF(#REF!=13,8,0)</f>
        <v>#REF!</v>
      </c>
      <c r="BD10" s="18" t="e">
        <f>IF(#REF!=14,7,0)</f>
        <v>#REF!</v>
      </c>
      <c r="BE10" s="18" t="e">
        <f>IF(#REF!=15,6,0)</f>
        <v>#REF!</v>
      </c>
      <c r="BF10" s="18" t="e">
        <f>IF(#REF!=16,5,0)</f>
        <v>#REF!</v>
      </c>
      <c r="BG10" s="18" t="e">
        <f>IF(#REF!=17,4,0)</f>
        <v>#REF!</v>
      </c>
      <c r="BH10" s="18" t="e">
        <f>IF(#REF!=18,3,0)</f>
        <v>#REF!</v>
      </c>
      <c r="BI10" s="18" t="e">
        <f>IF(#REF!=19,2,0)</f>
        <v>#REF!</v>
      </c>
      <c r="BJ10" s="18" t="e">
        <f>IF(#REF!=20,1,0)</f>
        <v>#REF!</v>
      </c>
      <c r="BK10" s="18" t="e">
        <f>IF(#REF!&gt;20,0,0)</f>
        <v>#REF!</v>
      </c>
      <c r="BL10" s="18" t="e">
        <f>IF(#REF!="сх",0,0)</f>
        <v>#REF!</v>
      </c>
      <c r="BM10" s="18" t="e">
        <f>SUM(AQ10:BK10)</f>
        <v>#REF!</v>
      </c>
      <c r="BN10" s="18">
        <f>IF(H10=1,45,0)</f>
        <v>45</v>
      </c>
      <c r="BO10" s="18">
        <f>IF(H10=2,42,0)</f>
        <v>0</v>
      </c>
      <c r="BP10" s="18">
        <f>IF(H10=3,40,0)</f>
        <v>0</v>
      </c>
      <c r="BQ10" s="18">
        <f>IF(H10=4,38,0)</f>
        <v>0</v>
      </c>
      <c r="BR10" s="18">
        <f>IF(H10=5,36,0)</f>
        <v>0</v>
      </c>
      <c r="BS10" s="18">
        <f>IF(H10=6,35,0)</f>
        <v>0</v>
      </c>
      <c r="BT10" s="18">
        <f>IF(H10=7,34,0)</f>
        <v>0</v>
      </c>
      <c r="BU10" s="18">
        <f>IF(H10=8,33,0)</f>
        <v>0</v>
      </c>
      <c r="BV10" s="18">
        <f>IF(H10=9,32,0)</f>
        <v>0</v>
      </c>
      <c r="BW10" s="18">
        <f>IF(H10=10,31,0)</f>
        <v>0</v>
      </c>
      <c r="BX10" s="18">
        <f>IF(H10=11,30,0)</f>
        <v>0</v>
      </c>
      <c r="BY10" s="18">
        <f>IF(H10=12,29,0)</f>
        <v>0</v>
      </c>
      <c r="BZ10" s="18">
        <f>IF(H10=13,28,0)</f>
        <v>0</v>
      </c>
      <c r="CA10" s="18">
        <f>IF(H10=14,27,0)</f>
        <v>0</v>
      </c>
      <c r="CB10" s="18">
        <f>IF(H10=15,26,0)</f>
        <v>0</v>
      </c>
      <c r="CC10" s="18">
        <f>IF(H10=16,25,0)</f>
        <v>0</v>
      </c>
      <c r="CD10" s="18">
        <f>IF(H10=17,24,0)</f>
        <v>0</v>
      </c>
      <c r="CE10" s="18">
        <f>IF(H10=18,23,0)</f>
        <v>0</v>
      </c>
      <c r="CF10" s="18">
        <f>IF(H10=19,22,0)</f>
        <v>0</v>
      </c>
      <c r="CG10" s="18">
        <f>IF(H10=20,21,0)</f>
        <v>0</v>
      </c>
      <c r="CH10" s="18">
        <f>IF(H10=21,20,0)</f>
        <v>0</v>
      </c>
      <c r="CI10" s="18">
        <f>IF(H10=22,19,0)</f>
        <v>0</v>
      </c>
      <c r="CJ10" s="18">
        <f>IF(H10=23,18,0)</f>
        <v>0</v>
      </c>
      <c r="CK10" s="18">
        <f>IF(H10=24,17,0)</f>
        <v>0</v>
      </c>
      <c r="CL10" s="18">
        <f>IF(H10=25,16,0)</f>
        <v>0</v>
      </c>
      <c r="CM10" s="18">
        <f>IF(H10=26,15,0)</f>
        <v>0</v>
      </c>
      <c r="CN10" s="18">
        <f>IF(H10=27,14,0)</f>
        <v>0</v>
      </c>
      <c r="CO10" s="18">
        <f>IF(H10=28,13,0)</f>
        <v>0</v>
      </c>
      <c r="CP10" s="18">
        <f>IF(H10=29,12,0)</f>
        <v>0</v>
      </c>
      <c r="CQ10" s="18">
        <f>IF(H10=30,11,0)</f>
        <v>0</v>
      </c>
      <c r="CR10" s="18">
        <f>IF(H10=31,10,0)</f>
        <v>0</v>
      </c>
      <c r="CS10" s="18">
        <f>IF(H10=32,9,0)</f>
        <v>0</v>
      </c>
      <c r="CT10" s="18">
        <f>IF(H10=33,8,0)</f>
        <v>0</v>
      </c>
      <c r="CU10" s="18">
        <f>IF(H10=34,7,0)</f>
        <v>0</v>
      </c>
      <c r="CV10" s="18">
        <f>IF(H10=35,6,0)</f>
        <v>0</v>
      </c>
      <c r="CW10" s="18">
        <f>IF(H10=36,5,0)</f>
        <v>0</v>
      </c>
      <c r="CX10" s="18">
        <f>IF(H10=37,4,0)</f>
        <v>0</v>
      </c>
      <c r="CY10" s="18">
        <f>IF(H10=38,3,0)</f>
        <v>0</v>
      </c>
      <c r="CZ10" s="18">
        <f>IF(H10=39,2,0)</f>
        <v>0</v>
      </c>
      <c r="DA10" s="18">
        <f>IF(H10=40,1,0)</f>
        <v>0</v>
      </c>
      <c r="DB10" s="18">
        <f>IF(H10&gt;20,0,0)</f>
        <v>0</v>
      </c>
      <c r="DC10" s="18">
        <f>IF(H10="сх",0,0)</f>
        <v>0</v>
      </c>
      <c r="DD10" s="18">
        <f>SUM(BN10:DC10)</f>
        <v>45</v>
      </c>
      <c r="DE10" s="18" t="e">
        <f>IF(#REF!=1,45,0)</f>
        <v>#REF!</v>
      </c>
      <c r="DF10" s="18" t="e">
        <f>IF(#REF!=2,42,0)</f>
        <v>#REF!</v>
      </c>
      <c r="DG10" s="18" t="e">
        <f>IF(#REF!=3,40,0)</f>
        <v>#REF!</v>
      </c>
      <c r="DH10" s="18" t="e">
        <f>IF(#REF!=4,38,0)</f>
        <v>#REF!</v>
      </c>
      <c r="DI10" s="18" t="e">
        <f>IF(#REF!=5,36,0)</f>
        <v>#REF!</v>
      </c>
      <c r="DJ10" s="18" t="e">
        <f>IF(#REF!=6,35,0)</f>
        <v>#REF!</v>
      </c>
      <c r="DK10" s="18" t="e">
        <f>IF(#REF!=7,34,0)</f>
        <v>#REF!</v>
      </c>
      <c r="DL10" s="18" t="e">
        <f>IF(#REF!=8,33,0)</f>
        <v>#REF!</v>
      </c>
      <c r="DM10" s="18" t="e">
        <f>IF(#REF!=9,32,0)</f>
        <v>#REF!</v>
      </c>
      <c r="DN10" s="18" t="e">
        <f>IF(#REF!=10,31,0)</f>
        <v>#REF!</v>
      </c>
      <c r="DO10" s="18" t="e">
        <f>IF(#REF!=11,30,0)</f>
        <v>#REF!</v>
      </c>
      <c r="DP10" s="18" t="e">
        <f>IF(#REF!=12,29,0)</f>
        <v>#REF!</v>
      </c>
      <c r="DQ10" s="18" t="e">
        <f>IF(#REF!=13,28,0)</f>
        <v>#REF!</v>
      </c>
      <c r="DR10" s="18" t="e">
        <f>IF(#REF!=14,27,0)</f>
        <v>#REF!</v>
      </c>
      <c r="DS10" s="18" t="e">
        <f>IF(#REF!=15,26,0)</f>
        <v>#REF!</v>
      </c>
      <c r="DT10" s="18" t="e">
        <f>IF(#REF!=16,25,0)</f>
        <v>#REF!</v>
      </c>
      <c r="DU10" s="18" t="e">
        <f>IF(#REF!=17,24,0)</f>
        <v>#REF!</v>
      </c>
      <c r="DV10" s="18" t="e">
        <f>IF(#REF!=18,23,0)</f>
        <v>#REF!</v>
      </c>
      <c r="DW10" s="18" t="e">
        <f>IF(#REF!=19,22,0)</f>
        <v>#REF!</v>
      </c>
      <c r="DX10" s="18" t="e">
        <f>IF(#REF!=20,21,0)</f>
        <v>#REF!</v>
      </c>
      <c r="DY10" s="18" t="e">
        <f>IF(#REF!=21,20,0)</f>
        <v>#REF!</v>
      </c>
      <c r="DZ10" s="18" t="e">
        <f>IF(#REF!=22,19,0)</f>
        <v>#REF!</v>
      </c>
      <c r="EA10" s="18" t="e">
        <f>IF(#REF!=23,18,0)</f>
        <v>#REF!</v>
      </c>
      <c r="EB10" s="18" t="e">
        <f>IF(#REF!=24,17,0)</f>
        <v>#REF!</v>
      </c>
      <c r="EC10" s="18" t="e">
        <f>IF(#REF!=25,16,0)</f>
        <v>#REF!</v>
      </c>
      <c r="ED10" s="18" t="e">
        <f>IF(#REF!=26,15,0)</f>
        <v>#REF!</v>
      </c>
      <c r="EE10" s="18" t="e">
        <f>IF(#REF!=27,14,0)</f>
        <v>#REF!</v>
      </c>
      <c r="EF10" s="18" t="e">
        <f>IF(#REF!=28,13,0)</f>
        <v>#REF!</v>
      </c>
      <c r="EG10" s="18" t="e">
        <f>IF(#REF!=29,12,0)</f>
        <v>#REF!</v>
      </c>
      <c r="EH10" s="18" t="e">
        <f>IF(#REF!=30,11,0)</f>
        <v>#REF!</v>
      </c>
      <c r="EI10" s="18" t="e">
        <f>IF(#REF!=31,10,0)</f>
        <v>#REF!</v>
      </c>
      <c r="EJ10" s="18" t="e">
        <f>IF(#REF!=32,9,0)</f>
        <v>#REF!</v>
      </c>
      <c r="EK10" s="18" t="e">
        <f>IF(#REF!=33,8,0)</f>
        <v>#REF!</v>
      </c>
      <c r="EL10" s="18" t="e">
        <f>IF(#REF!=34,7,0)</f>
        <v>#REF!</v>
      </c>
      <c r="EM10" s="18" t="e">
        <f>IF(#REF!=35,6,0)</f>
        <v>#REF!</v>
      </c>
      <c r="EN10" s="18" t="e">
        <f>IF(#REF!=36,5,0)</f>
        <v>#REF!</v>
      </c>
      <c r="EO10" s="18" t="e">
        <f>IF(#REF!=37,4,0)</f>
        <v>#REF!</v>
      </c>
      <c r="EP10" s="18" t="e">
        <f>IF(#REF!=38,3,0)</f>
        <v>#REF!</v>
      </c>
      <c r="EQ10" s="18" t="e">
        <f>IF(#REF!=39,2,0)</f>
        <v>#REF!</v>
      </c>
      <c r="ER10" s="18" t="e">
        <f>IF(#REF!=40,1,0)</f>
        <v>#REF!</v>
      </c>
      <c r="ES10" s="18" t="e">
        <f>IF(#REF!&gt;20,0,0)</f>
        <v>#REF!</v>
      </c>
      <c r="ET10" s="18" t="e">
        <f>IF(#REF!="сх",0,0)</f>
        <v>#REF!</v>
      </c>
      <c r="EU10" s="18" t="e">
        <f>SUM(DE10:ET10)</f>
        <v>#REF!</v>
      </c>
      <c r="EW10" s="18">
        <f>IF(H10="сх","ноль",IF(H10&gt;0,H10,"Ноль"))</f>
        <v>1</v>
      </c>
      <c r="EX10" s="18" t="e">
        <f>IF(#REF!="сх","ноль",IF(#REF!&gt;0,#REF!,"Ноль"))</f>
        <v>#REF!</v>
      </c>
      <c r="EZ10" s="18" t="e">
        <f>MIN(EW10,EX10)</f>
        <v>#REF!</v>
      </c>
      <c r="FA10" s="18" t="e">
        <f>IF(P10=#REF!,IF(#REF!&lt;#REF!,#REF!,FE10),#REF!)</f>
        <v>#REF!</v>
      </c>
      <c r="FB10" s="18" t="e">
        <f>IF(P10=#REF!,IF(#REF!&lt;#REF!,0,1))</f>
        <v>#REF!</v>
      </c>
      <c r="FC10" s="18" t="e">
        <f>IF(AND(EZ10&gt;=21,EZ10&lt;&gt;0),EZ10,IF(P10&lt;#REF!,"СТОП",FA10+FB10))</f>
        <v>#REF!</v>
      </c>
      <c r="FE10" s="18">
        <v>15</v>
      </c>
      <c r="FF10" s="18">
        <v>16</v>
      </c>
      <c r="FH10" s="20">
        <f>IF(H10=1,25,0)</f>
        <v>25</v>
      </c>
      <c r="FI10" s="20">
        <f>IF(H10=2,22,0)</f>
        <v>0</v>
      </c>
      <c r="FJ10" s="20">
        <f>IF(H10=3,20,0)</f>
        <v>0</v>
      </c>
      <c r="FK10" s="20">
        <f>IF(H10=4,18,0)</f>
        <v>0</v>
      </c>
      <c r="FL10" s="20">
        <f>IF(H10=5,16,0)</f>
        <v>0</v>
      </c>
      <c r="FM10" s="20">
        <f>IF(H10=6,15,0)</f>
        <v>0</v>
      </c>
      <c r="FN10" s="20">
        <f>IF(H10=7,14,0)</f>
        <v>0</v>
      </c>
      <c r="FO10" s="20">
        <f>IF(H10=8,13,0)</f>
        <v>0</v>
      </c>
      <c r="FP10" s="20">
        <f>IF(H10=9,12,0)</f>
        <v>0</v>
      </c>
      <c r="FQ10" s="20">
        <f>IF(H10=10,11,0)</f>
        <v>0</v>
      </c>
      <c r="FR10" s="20">
        <f>IF(H10=11,10,0)</f>
        <v>0</v>
      </c>
      <c r="FS10" s="20">
        <f>IF(H10=12,9,0)</f>
        <v>0</v>
      </c>
      <c r="FT10" s="20">
        <f>IF(H10=13,8,0)</f>
        <v>0</v>
      </c>
      <c r="FU10" s="20">
        <f>IF(H10=14,7,0)</f>
        <v>0</v>
      </c>
      <c r="FV10" s="20">
        <f>IF(H10=15,6,0)</f>
        <v>0</v>
      </c>
      <c r="FW10" s="20">
        <f>IF(H10=16,5,0)</f>
        <v>0</v>
      </c>
      <c r="FX10" s="20">
        <f>IF(H10=17,4,0)</f>
        <v>0</v>
      </c>
      <c r="FY10" s="20">
        <f>IF(H10=18,3,0)</f>
        <v>0</v>
      </c>
      <c r="FZ10" s="20">
        <f>IF(H10=19,2,0)</f>
        <v>0</v>
      </c>
      <c r="GA10" s="20">
        <f>IF(H10=20,1,0)</f>
        <v>0</v>
      </c>
      <c r="GB10" s="20">
        <f>IF(H10&gt;20,0,0)</f>
        <v>0</v>
      </c>
      <c r="GC10" s="20">
        <f>IF(H10="сх",0,0)</f>
        <v>0</v>
      </c>
      <c r="GD10" s="20">
        <f>SUM(FH10:GC10)</f>
        <v>25</v>
      </c>
      <c r="GE10" s="20" t="e">
        <f>IF(#REF!=1,25,0)</f>
        <v>#REF!</v>
      </c>
      <c r="GF10" s="20" t="e">
        <f>IF(#REF!=2,22,0)</f>
        <v>#REF!</v>
      </c>
      <c r="GG10" s="20" t="e">
        <f>IF(#REF!=3,20,0)</f>
        <v>#REF!</v>
      </c>
      <c r="GH10" s="20" t="e">
        <f>IF(#REF!=4,18,0)</f>
        <v>#REF!</v>
      </c>
      <c r="GI10" s="20" t="e">
        <f>IF(#REF!=5,16,0)</f>
        <v>#REF!</v>
      </c>
      <c r="GJ10" s="20" t="e">
        <f>IF(#REF!=6,15,0)</f>
        <v>#REF!</v>
      </c>
      <c r="GK10" s="20" t="e">
        <f>IF(#REF!=7,14,0)</f>
        <v>#REF!</v>
      </c>
      <c r="GL10" s="20" t="e">
        <f>IF(#REF!=8,13,0)</f>
        <v>#REF!</v>
      </c>
      <c r="GM10" s="20" t="e">
        <f>IF(#REF!=9,12,0)</f>
        <v>#REF!</v>
      </c>
      <c r="GN10" s="20" t="e">
        <f>IF(#REF!=10,11,0)</f>
        <v>#REF!</v>
      </c>
      <c r="GO10" s="20" t="e">
        <f>IF(#REF!=11,10,0)</f>
        <v>#REF!</v>
      </c>
      <c r="GP10" s="20" t="e">
        <f>IF(#REF!=12,9,0)</f>
        <v>#REF!</v>
      </c>
      <c r="GQ10" s="20" t="e">
        <f>IF(#REF!=13,8,0)</f>
        <v>#REF!</v>
      </c>
      <c r="GR10" s="20" t="e">
        <f>IF(#REF!=14,7,0)</f>
        <v>#REF!</v>
      </c>
      <c r="GS10" s="20" t="e">
        <f>IF(#REF!=15,6,0)</f>
        <v>#REF!</v>
      </c>
      <c r="GT10" s="20" t="e">
        <f>IF(#REF!=16,5,0)</f>
        <v>#REF!</v>
      </c>
      <c r="GU10" s="20" t="e">
        <f>IF(#REF!=17,4,0)</f>
        <v>#REF!</v>
      </c>
      <c r="GV10" s="20" t="e">
        <f>IF(#REF!=18,3,0)</f>
        <v>#REF!</v>
      </c>
      <c r="GW10" s="20" t="e">
        <f>IF(#REF!=19,2,0)</f>
        <v>#REF!</v>
      </c>
      <c r="GX10" s="20" t="e">
        <f>IF(#REF!=20,1,0)</f>
        <v>#REF!</v>
      </c>
      <c r="GY10" s="20" t="e">
        <f>IF(#REF!&gt;20,0,0)</f>
        <v>#REF!</v>
      </c>
      <c r="GZ10" s="20" t="e">
        <f>IF(#REF!="сх",0,0)</f>
        <v>#REF!</v>
      </c>
      <c r="HA10" s="20" t="e">
        <f>SUM(GE10:GZ10)</f>
        <v>#REF!</v>
      </c>
      <c r="HB10" s="20">
        <f>IF(H10=1,100,0)</f>
        <v>100</v>
      </c>
      <c r="HC10" s="20">
        <f>IF(H10=2,98,0)</f>
        <v>0</v>
      </c>
      <c r="HD10" s="20">
        <f>IF(H10=3,95,0)</f>
        <v>0</v>
      </c>
      <c r="HE10" s="20">
        <f>IF(H10=4,93,0)</f>
        <v>0</v>
      </c>
      <c r="HF10" s="20">
        <f>IF(H10=5,90,0)</f>
        <v>0</v>
      </c>
      <c r="HG10" s="20">
        <f>IF(H10=6,88,0)</f>
        <v>0</v>
      </c>
      <c r="HH10" s="20">
        <f>IF(H10=7,85,0)</f>
        <v>0</v>
      </c>
      <c r="HI10" s="20">
        <f>IF(H10=8,83,0)</f>
        <v>0</v>
      </c>
      <c r="HJ10" s="20">
        <f>IF(H10=9,80,0)</f>
        <v>0</v>
      </c>
      <c r="HK10" s="20">
        <f>IF(H10=10,78,0)</f>
        <v>0</v>
      </c>
      <c r="HL10" s="20">
        <f>IF(H10=11,75,0)</f>
        <v>0</v>
      </c>
      <c r="HM10" s="20">
        <f>IF(H10=12,73,0)</f>
        <v>0</v>
      </c>
      <c r="HN10" s="20">
        <f>IF(H10=13,70,0)</f>
        <v>0</v>
      </c>
      <c r="HO10" s="20">
        <f>IF(H10=14,68,0)</f>
        <v>0</v>
      </c>
      <c r="HP10" s="20">
        <f>IF(H10=15,65,0)</f>
        <v>0</v>
      </c>
      <c r="HQ10" s="20">
        <f>IF(H10=16,63,0)</f>
        <v>0</v>
      </c>
      <c r="HR10" s="20">
        <f>IF(H10=17,60,0)</f>
        <v>0</v>
      </c>
      <c r="HS10" s="20">
        <f>IF(H10=18,58,0)</f>
        <v>0</v>
      </c>
      <c r="HT10" s="20">
        <f>IF(H10=19,55,0)</f>
        <v>0</v>
      </c>
      <c r="HU10" s="20">
        <f>IF(H10=20,53,0)</f>
        <v>0</v>
      </c>
      <c r="HV10" s="20">
        <f>IF(H10&gt;20,0,0)</f>
        <v>0</v>
      </c>
      <c r="HW10" s="20">
        <f>IF(H10="сх",0,0)</f>
        <v>0</v>
      </c>
      <c r="HX10" s="20">
        <f>SUM(HB10:HW10)</f>
        <v>100</v>
      </c>
      <c r="HY10" s="20" t="e">
        <f>IF(#REF!=1,100,0)</f>
        <v>#REF!</v>
      </c>
      <c r="HZ10" s="20" t="e">
        <f>IF(#REF!=2,98,0)</f>
        <v>#REF!</v>
      </c>
      <c r="IA10" s="20" t="e">
        <f>IF(#REF!=3,95,0)</f>
        <v>#REF!</v>
      </c>
      <c r="IB10" s="20" t="e">
        <f>IF(#REF!=4,93,0)</f>
        <v>#REF!</v>
      </c>
      <c r="IC10" s="20" t="e">
        <f>IF(#REF!=5,90,0)</f>
        <v>#REF!</v>
      </c>
      <c r="ID10" s="20" t="e">
        <f>IF(#REF!=6,88,0)</f>
        <v>#REF!</v>
      </c>
      <c r="IE10" s="20" t="e">
        <f>IF(#REF!=7,85,0)</f>
        <v>#REF!</v>
      </c>
      <c r="IF10" s="20" t="e">
        <f>IF(#REF!=8,83,0)</f>
        <v>#REF!</v>
      </c>
      <c r="IG10" s="20" t="e">
        <f>IF(#REF!=9,80,0)</f>
        <v>#REF!</v>
      </c>
      <c r="IH10" s="20" t="e">
        <f>IF(#REF!=10,78,0)</f>
        <v>#REF!</v>
      </c>
      <c r="II10" s="20" t="e">
        <f>IF(#REF!=11,75,0)</f>
        <v>#REF!</v>
      </c>
      <c r="IJ10" s="20" t="e">
        <f>IF(#REF!=12,73,0)</f>
        <v>#REF!</v>
      </c>
      <c r="IK10" s="20" t="e">
        <f>IF(#REF!=13,70,0)</f>
        <v>#REF!</v>
      </c>
      <c r="IL10" s="20" t="e">
        <f>IF(#REF!=14,68,0)</f>
        <v>#REF!</v>
      </c>
      <c r="IM10" s="20" t="e">
        <f>IF(#REF!=15,65,0)</f>
        <v>#REF!</v>
      </c>
      <c r="IN10" s="20" t="e">
        <f>IF(#REF!=16,63,0)</f>
        <v>#REF!</v>
      </c>
      <c r="IO10" s="20" t="e">
        <f>IF(#REF!=17,60,0)</f>
        <v>#REF!</v>
      </c>
      <c r="IP10" s="20" t="e">
        <f>IF(#REF!=18,58,0)</f>
        <v>#REF!</v>
      </c>
      <c r="IQ10" s="20" t="e">
        <f>IF(#REF!=19,55,0)</f>
        <v>#REF!</v>
      </c>
      <c r="IR10" s="20" t="e">
        <f>IF(#REF!=20,53,0)</f>
        <v>#REF!</v>
      </c>
      <c r="IS10" s="20" t="e">
        <f>IF(#REF!&gt;20,0,0)</f>
        <v>#REF!</v>
      </c>
      <c r="IT10" s="20" t="e">
        <f>IF(#REF!="сх",0,0)</f>
        <v>#REF!</v>
      </c>
      <c r="IU10" s="20" t="e">
        <f>SUM(HY10:IT10)</f>
        <v>#REF!</v>
      </c>
    </row>
    <row r="11" spans="1:255" s="18" customFormat="1" ht="18.75">
      <c r="A11" s="48">
        <v>2</v>
      </c>
      <c r="B11" s="100">
        <v>777</v>
      </c>
      <c r="C11" s="59" t="s">
        <v>52</v>
      </c>
      <c r="D11" s="26" t="s">
        <v>26</v>
      </c>
      <c r="E11" s="59" t="s">
        <v>53</v>
      </c>
      <c r="F11" s="54" t="s">
        <v>54</v>
      </c>
      <c r="G11" s="59" t="s">
        <v>29</v>
      </c>
      <c r="H11" s="33">
        <v>2</v>
      </c>
      <c r="I11" s="38">
        <v>22</v>
      </c>
      <c r="J11" s="28">
        <v>2</v>
      </c>
      <c r="K11" s="65">
        <v>22</v>
      </c>
      <c r="L11" s="50">
        <v>4</v>
      </c>
      <c r="M11" s="38">
        <v>18</v>
      </c>
      <c r="N11" s="28">
        <v>2</v>
      </c>
      <c r="O11" s="70">
        <v>22</v>
      </c>
      <c r="P11" s="97">
        <f t="shared" si="0"/>
        <v>84</v>
      </c>
      <c r="Q11" s="30"/>
      <c r="S11" s="19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s="18" customFormat="1" ht="18.75">
      <c r="A12" s="48">
        <v>3</v>
      </c>
      <c r="B12" s="95">
        <v>9</v>
      </c>
      <c r="C12" s="59" t="s">
        <v>40</v>
      </c>
      <c r="D12" s="26" t="s">
        <v>26</v>
      </c>
      <c r="E12" s="60" t="s">
        <v>32</v>
      </c>
      <c r="F12" s="54" t="s">
        <v>41</v>
      </c>
      <c r="G12" s="60" t="s">
        <v>42</v>
      </c>
      <c r="H12" s="33">
        <v>4</v>
      </c>
      <c r="I12" s="38">
        <v>18</v>
      </c>
      <c r="J12" s="28">
        <v>6</v>
      </c>
      <c r="K12" s="65">
        <v>15</v>
      </c>
      <c r="L12" s="50">
        <v>2</v>
      </c>
      <c r="M12" s="38">
        <v>22</v>
      </c>
      <c r="N12" s="28">
        <v>4</v>
      </c>
      <c r="O12" s="70">
        <v>18</v>
      </c>
      <c r="P12" s="97">
        <f t="shared" si="0"/>
        <v>73</v>
      </c>
      <c r="Q12" s="30"/>
      <c r="S12" s="19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s="18" customFormat="1" ht="37.5">
      <c r="A13" s="48">
        <v>4</v>
      </c>
      <c r="B13" s="100">
        <v>21</v>
      </c>
      <c r="C13" s="59" t="s">
        <v>44</v>
      </c>
      <c r="D13" s="26" t="s">
        <v>26</v>
      </c>
      <c r="E13" s="59" t="s">
        <v>35</v>
      </c>
      <c r="F13" s="54" t="s">
        <v>23</v>
      </c>
      <c r="G13" s="59" t="s">
        <v>29</v>
      </c>
      <c r="H13" s="33">
        <v>3</v>
      </c>
      <c r="I13" s="38">
        <v>20</v>
      </c>
      <c r="J13" s="28">
        <v>1</v>
      </c>
      <c r="K13" s="65">
        <v>25</v>
      </c>
      <c r="L13" s="50" t="s">
        <v>64</v>
      </c>
      <c r="M13" s="38">
        <v>0</v>
      </c>
      <c r="N13" s="28">
        <v>1</v>
      </c>
      <c r="O13" s="70">
        <v>25</v>
      </c>
      <c r="P13" s="97">
        <f t="shared" si="0"/>
        <v>70</v>
      </c>
      <c r="Q13" s="30"/>
      <c r="S13" s="19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s="18" customFormat="1" ht="18.75">
      <c r="A14" s="48">
        <v>5</v>
      </c>
      <c r="B14" s="100">
        <v>250</v>
      </c>
      <c r="C14" s="59" t="s">
        <v>51</v>
      </c>
      <c r="D14" s="26" t="s">
        <v>26</v>
      </c>
      <c r="E14" s="60" t="s">
        <v>34</v>
      </c>
      <c r="F14" s="54" t="s">
        <v>38</v>
      </c>
      <c r="G14" s="60" t="s">
        <v>39</v>
      </c>
      <c r="H14" s="33">
        <v>6</v>
      </c>
      <c r="I14" s="38">
        <v>15</v>
      </c>
      <c r="J14" s="28">
        <v>3</v>
      </c>
      <c r="K14" s="65">
        <v>20</v>
      </c>
      <c r="L14" s="50">
        <v>6</v>
      </c>
      <c r="M14" s="38">
        <v>15</v>
      </c>
      <c r="N14" s="28">
        <v>10</v>
      </c>
      <c r="O14" s="70">
        <v>11</v>
      </c>
      <c r="P14" s="97">
        <f t="shared" si="0"/>
        <v>61</v>
      </c>
      <c r="Q14" s="30"/>
      <c r="S14" s="19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s="18" customFormat="1" ht="18.75">
      <c r="A15" s="48">
        <v>6</v>
      </c>
      <c r="B15" s="95">
        <v>22</v>
      </c>
      <c r="C15" s="60" t="s">
        <v>45</v>
      </c>
      <c r="D15" s="26" t="s">
        <v>26</v>
      </c>
      <c r="E15" s="60" t="s">
        <v>33</v>
      </c>
      <c r="F15" s="54" t="s">
        <v>46</v>
      </c>
      <c r="G15" s="59"/>
      <c r="H15" s="33">
        <v>7</v>
      </c>
      <c r="I15" s="38">
        <v>14</v>
      </c>
      <c r="J15" s="28">
        <v>5</v>
      </c>
      <c r="K15" s="65">
        <v>16</v>
      </c>
      <c r="L15" s="50">
        <v>10</v>
      </c>
      <c r="M15" s="38">
        <v>11</v>
      </c>
      <c r="N15" s="28">
        <v>11</v>
      </c>
      <c r="O15" s="70">
        <v>10</v>
      </c>
      <c r="P15" s="97">
        <f t="shared" si="0"/>
        <v>51</v>
      </c>
      <c r="Q15" s="30"/>
      <c r="S15" s="19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s="18" customFormat="1" ht="18.75">
      <c r="A16" s="48">
        <v>7</v>
      </c>
      <c r="B16" s="95">
        <v>5</v>
      </c>
      <c r="C16" s="60" t="s">
        <v>37</v>
      </c>
      <c r="D16" s="55" t="s">
        <v>26</v>
      </c>
      <c r="E16" s="60" t="s">
        <v>34</v>
      </c>
      <c r="F16" s="54" t="s">
        <v>38</v>
      </c>
      <c r="G16" s="60" t="s">
        <v>39</v>
      </c>
      <c r="H16" s="33">
        <v>8</v>
      </c>
      <c r="I16" s="38">
        <v>13</v>
      </c>
      <c r="J16" s="28">
        <v>8</v>
      </c>
      <c r="K16" s="65">
        <v>13</v>
      </c>
      <c r="L16" s="50">
        <v>12</v>
      </c>
      <c r="M16" s="38">
        <v>9</v>
      </c>
      <c r="N16" s="28">
        <v>9</v>
      </c>
      <c r="O16" s="70">
        <v>12</v>
      </c>
      <c r="P16" s="97">
        <f t="shared" si="0"/>
        <v>47</v>
      </c>
      <c r="Q16" s="30"/>
      <c r="S16" s="19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s="18" customFormat="1" ht="37.5">
      <c r="A17" s="48">
        <v>8</v>
      </c>
      <c r="B17" s="95">
        <v>14</v>
      </c>
      <c r="C17" s="60" t="s">
        <v>43</v>
      </c>
      <c r="D17" s="55" t="s">
        <v>26</v>
      </c>
      <c r="E17" s="60" t="s">
        <v>32</v>
      </c>
      <c r="F17" s="54" t="s">
        <v>36</v>
      </c>
      <c r="G17" s="60" t="s">
        <v>39</v>
      </c>
      <c r="H17" s="33">
        <v>9</v>
      </c>
      <c r="I17" s="38">
        <v>12</v>
      </c>
      <c r="J17" s="28">
        <v>9</v>
      </c>
      <c r="K17" s="65">
        <v>12</v>
      </c>
      <c r="L17" s="50">
        <v>14</v>
      </c>
      <c r="M17" s="38">
        <v>7</v>
      </c>
      <c r="N17" s="28">
        <v>16</v>
      </c>
      <c r="O17" s="70">
        <v>5</v>
      </c>
      <c r="P17" s="97">
        <f t="shared" si="0"/>
        <v>36</v>
      </c>
      <c r="Q17" s="30"/>
      <c r="S17" s="19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16" ht="37.5" customHeight="1">
      <c r="A18" s="48">
        <v>9</v>
      </c>
      <c r="B18" s="101">
        <v>6</v>
      </c>
      <c r="C18" s="61" t="s">
        <v>57</v>
      </c>
      <c r="D18" s="56" t="s">
        <v>26</v>
      </c>
      <c r="E18" s="61" t="s">
        <v>58</v>
      </c>
      <c r="F18" s="56" t="s">
        <v>59</v>
      </c>
      <c r="G18" s="61" t="s">
        <v>60</v>
      </c>
      <c r="H18" s="36" t="s">
        <v>82</v>
      </c>
      <c r="I18" s="40">
        <v>0</v>
      </c>
      <c r="J18" s="37" t="s">
        <v>82</v>
      </c>
      <c r="K18" s="66">
        <v>0</v>
      </c>
      <c r="L18" s="51">
        <v>3</v>
      </c>
      <c r="M18" s="31">
        <v>20</v>
      </c>
      <c r="N18" s="29">
        <v>6</v>
      </c>
      <c r="O18" s="71">
        <v>15</v>
      </c>
      <c r="P18" s="97">
        <f t="shared" si="0"/>
        <v>35</v>
      </c>
    </row>
    <row r="19" spans="1:256" ht="18.75">
      <c r="A19" s="48">
        <v>10</v>
      </c>
      <c r="B19" s="101">
        <v>151</v>
      </c>
      <c r="C19" s="61" t="s">
        <v>61</v>
      </c>
      <c r="D19" s="56" t="s">
        <v>26</v>
      </c>
      <c r="E19" s="61" t="s">
        <v>62</v>
      </c>
      <c r="F19" s="56" t="s">
        <v>55</v>
      </c>
      <c r="G19" s="61" t="s">
        <v>56</v>
      </c>
      <c r="H19" s="36" t="s">
        <v>82</v>
      </c>
      <c r="I19" s="40">
        <v>0</v>
      </c>
      <c r="J19" s="37" t="s">
        <v>82</v>
      </c>
      <c r="K19" s="66">
        <v>0</v>
      </c>
      <c r="L19" s="51">
        <v>5</v>
      </c>
      <c r="M19" s="31">
        <v>16</v>
      </c>
      <c r="N19" s="29">
        <v>7</v>
      </c>
      <c r="O19" s="71">
        <v>14</v>
      </c>
      <c r="P19" s="97">
        <f t="shared" si="0"/>
        <v>30</v>
      </c>
      <c r="Q19" s="22"/>
      <c r="R19" s="23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3"/>
      <c r="EC19" s="23"/>
      <c r="ED19" s="23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4"/>
      <c r="EW19" s="24"/>
      <c r="EX19" s="24"/>
      <c r="EY19" s="24"/>
      <c r="EZ19" s="24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8.75">
      <c r="A20" s="48">
        <v>11</v>
      </c>
      <c r="B20" s="100">
        <v>51</v>
      </c>
      <c r="C20" s="59" t="s">
        <v>50</v>
      </c>
      <c r="D20" s="26" t="s">
        <v>26</v>
      </c>
      <c r="E20" s="59" t="s">
        <v>35</v>
      </c>
      <c r="F20" s="54" t="s">
        <v>23</v>
      </c>
      <c r="G20" s="59" t="s">
        <v>29</v>
      </c>
      <c r="H20" s="34">
        <v>5</v>
      </c>
      <c r="I20" s="39">
        <v>16</v>
      </c>
      <c r="J20" s="35">
        <v>7</v>
      </c>
      <c r="K20" s="67">
        <v>14</v>
      </c>
      <c r="L20" s="50" t="s">
        <v>82</v>
      </c>
      <c r="M20" s="38">
        <v>0</v>
      </c>
      <c r="N20" s="28" t="s">
        <v>82</v>
      </c>
      <c r="O20" s="70">
        <v>0</v>
      </c>
      <c r="P20" s="97">
        <f t="shared" si="0"/>
        <v>30</v>
      </c>
      <c r="Q20" s="22"/>
      <c r="R20" s="23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3"/>
      <c r="EC20" s="23"/>
      <c r="ED20" s="23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4"/>
      <c r="EW20" s="24"/>
      <c r="EX20" s="24"/>
      <c r="EY20" s="24"/>
      <c r="EZ20" s="24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8.75">
      <c r="A21" s="48">
        <v>12</v>
      </c>
      <c r="B21" s="101">
        <v>83</v>
      </c>
      <c r="C21" s="61" t="s">
        <v>63</v>
      </c>
      <c r="D21" s="56" t="s">
        <v>31</v>
      </c>
      <c r="E21" s="61" t="s">
        <v>71</v>
      </c>
      <c r="F21" s="56" t="s">
        <v>23</v>
      </c>
      <c r="G21" s="61" t="s">
        <v>60</v>
      </c>
      <c r="H21" s="36" t="s">
        <v>82</v>
      </c>
      <c r="I21" s="40">
        <v>0</v>
      </c>
      <c r="J21" s="37" t="s">
        <v>82</v>
      </c>
      <c r="K21" s="66">
        <v>0</v>
      </c>
      <c r="L21" s="51">
        <v>8</v>
      </c>
      <c r="M21" s="31">
        <v>13</v>
      </c>
      <c r="N21" s="29">
        <v>8</v>
      </c>
      <c r="O21" s="71">
        <v>13</v>
      </c>
      <c r="P21" s="97">
        <f t="shared" si="0"/>
        <v>26</v>
      </c>
      <c r="Q21" s="22"/>
      <c r="R21" s="23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3"/>
      <c r="EC21" s="23"/>
      <c r="ED21" s="23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4"/>
      <c r="EW21" s="24"/>
      <c r="EX21" s="24"/>
      <c r="EY21" s="24"/>
      <c r="EZ21" s="24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18.75">
      <c r="A22" s="48">
        <v>13</v>
      </c>
      <c r="B22" s="101">
        <v>175</v>
      </c>
      <c r="C22" s="61" t="s">
        <v>65</v>
      </c>
      <c r="D22" s="56" t="s">
        <v>26</v>
      </c>
      <c r="E22" s="61" t="s">
        <v>53</v>
      </c>
      <c r="F22" s="56" t="s">
        <v>66</v>
      </c>
      <c r="G22" s="61" t="s">
        <v>60</v>
      </c>
      <c r="H22" s="34" t="s">
        <v>82</v>
      </c>
      <c r="I22" s="39">
        <v>0</v>
      </c>
      <c r="J22" s="35" t="s">
        <v>82</v>
      </c>
      <c r="K22" s="67">
        <v>0</v>
      </c>
      <c r="L22" s="51">
        <v>13</v>
      </c>
      <c r="M22" s="31">
        <v>8</v>
      </c>
      <c r="N22" s="29">
        <v>5</v>
      </c>
      <c r="O22" s="71">
        <v>16</v>
      </c>
      <c r="P22" s="97">
        <f t="shared" si="0"/>
        <v>24</v>
      </c>
      <c r="Q22" s="22"/>
      <c r="R22" s="23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3"/>
      <c r="EC22" s="23"/>
      <c r="ED22" s="23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4"/>
      <c r="EW22" s="24"/>
      <c r="EX22" s="24"/>
      <c r="EY22" s="24"/>
      <c r="EZ22" s="24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18.75">
      <c r="A23" s="48">
        <v>14</v>
      </c>
      <c r="B23" s="101">
        <v>55</v>
      </c>
      <c r="C23" s="61" t="s">
        <v>67</v>
      </c>
      <c r="D23" s="56" t="s">
        <v>26</v>
      </c>
      <c r="E23" s="61" t="s">
        <v>68</v>
      </c>
      <c r="F23" s="56" t="s">
        <v>23</v>
      </c>
      <c r="G23" s="61" t="s">
        <v>69</v>
      </c>
      <c r="H23" s="34" t="s">
        <v>82</v>
      </c>
      <c r="I23" s="39">
        <v>0</v>
      </c>
      <c r="J23" s="35" t="s">
        <v>82</v>
      </c>
      <c r="K23" s="67">
        <v>0</v>
      </c>
      <c r="L23" s="51">
        <v>7</v>
      </c>
      <c r="M23" s="31">
        <v>14</v>
      </c>
      <c r="N23" s="29">
        <v>12</v>
      </c>
      <c r="O23" s="71">
        <v>9</v>
      </c>
      <c r="P23" s="97">
        <f t="shared" si="0"/>
        <v>23</v>
      </c>
      <c r="Q23" s="22"/>
      <c r="R23" s="23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3"/>
      <c r="EC23" s="23"/>
      <c r="ED23" s="23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4"/>
      <c r="EW23" s="24"/>
      <c r="EX23" s="24"/>
      <c r="EY23" s="24"/>
      <c r="EZ23" s="24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16" ht="18.75">
      <c r="A24" s="48">
        <v>15</v>
      </c>
      <c r="B24" s="100">
        <v>24</v>
      </c>
      <c r="C24" s="59" t="s">
        <v>47</v>
      </c>
      <c r="D24" s="26" t="s">
        <v>26</v>
      </c>
      <c r="E24" s="60" t="s">
        <v>32</v>
      </c>
      <c r="F24" s="54" t="s">
        <v>36</v>
      </c>
      <c r="G24" s="60" t="s">
        <v>39</v>
      </c>
      <c r="H24" s="34">
        <v>10</v>
      </c>
      <c r="I24" s="39">
        <v>11</v>
      </c>
      <c r="J24" s="35">
        <v>10</v>
      </c>
      <c r="K24" s="67">
        <v>11</v>
      </c>
      <c r="L24" s="50" t="s">
        <v>82</v>
      </c>
      <c r="M24" s="38">
        <v>0</v>
      </c>
      <c r="N24" s="28" t="s">
        <v>82</v>
      </c>
      <c r="O24" s="70">
        <v>0</v>
      </c>
      <c r="P24" s="97">
        <f t="shared" si="0"/>
        <v>22</v>
      </c>
    </row>
    <row r="25" spans="1:16" ht="18.75">
      <c r="A25" s="48">
        <v>16</v>
      </c>
      <c r="B25" s="101">
        <v>100</v>
      </c>
      <c r="C25" s="61" t="s">
        <v>70</v>
      </c>
      <c r="D25" s="56" t="s">
        <v>26</v>
      </c>
      <c r="E25" s="61" t="s">
        <v>71</v>
      </c>
      <c r="F25" s="56" t="s">
        <v>23</v>
      </c>
      <c r="G25" s="61" t="s">
        <v>60</v>
      </c>
      <c r="H25" s="34" t="s">
        <v>82</v>
      </c>
      <c r="I25" s="39">
        <v>0</v>
      </c>
      <c r="J25" s="35" t="s">
        <v>82</v>
      </c>
      <c r="K25" s="67">
        <v>0</v>
      </c>
      <c r="L25" s="51">
        <v>11</v>
      </c>
      <c r="M25" s="31">
        <v>10</v>
      </c>
      <c r="N25" s="29">
        <v>13</v>
      </c>
      <c r="O25" s="71">
        <v>8</v>
      </c>
      <c r="P25" s="97">
        <f t="shared" si="0"/>
        <v>18</v>
      </c>
    </row>
    <row r="26" spans="1:16" ht="18.75">
      <c r="A26" s="48">
        <v>17</v>
      </c>
      <c r="B26" s="101">
        <v>3</v>
      </c>
      <c r="C26" s="61" t="s">
        <v>72</v>
      </c>
      <c r="D26" s="56" t="s">
        <v>26</v>
      </c>
      <c r="E26" s="61" t="s">
        <v>58</v>
      </c>
      <c r="F26" s="56" t="s">
        <v>59</v>
      </c>
      <c r="G26" s="61" t="s">
        <v>60</v>
      </c>
      <c r="H26" s="34" t="s">
        <v>82</v>
      </c>
      <c r="I26" s="39">
        <v>0</v>
      </c>
      <c r="J26" s="35" t="s">
        <v>82</v>
      </c>
      <c r="K26" s="67">
        <v>0</v>
      </c>
      <c r="L26" s="51">
        <v>9</v>
      </c>
      <c r="M26" s="31">
        <v>12</v>
      </c>
      <c r="N26" s="29">
        <v>17</v>
      </c>
      <c r="O26" s="71">
        <v>4</v>
      </c>
      <c r="P26" s="97">
        <f t="shared" si="0"/>
        <v>16</v>
      </c>
    </row>
    <row r="27" spans="1:16" ht="18.75">
      <c r="A27" s="48">
        <v>18</v>
      </c>
      <c r="B27" s="101">
        <v>81</v>
      </c>
      <c r="C27" s="61" t="s">
        <v>73</v>
      </c>
      <c r="D27" s="56" t="s">
        <v>30</v>
      </c>
      <c r="E27" s="61" t="s">
        <v>71</v>
      </c>
      <c r="F27" s="56" t="s">
        <v>23</v>
      </c>
      <c r="G27" s="61" t="s">
        <v>60</v>
      </c>
      <c r="H27" s="34" t="s">
        <v>82</v>
      </c>
      <c r="I27" s="39">
        <v>0</v>
      </c>
      <c r="J27" s="35" t="s">
        <v>82</v>
      </c>
      <c r="K27" s="67">
        <v>0</v>
      </c>
      <c r="L27" s="51">
        <v>17</v>
      </c>
      <c r="M27" s="31">
        <v>4</v>
      </c>
      <c r="N27" s="29">
        <v>14</v>
      </c>
      <c r="O27" s="71">
        <v>7</v>
      </c>
      <c r="P27" s="97">
        <f t="shared" si="0"/>
        <v>11</v>
      </c>
    </row>
    <row r="28" spans="1:16" ht="18.75">
      <c r="A28" s="48">
        <v>19</v>
      </c>
      <c r="B28" s="101">
        <v>86</v>
      </c>
      <c r="C28" s="61" t="s">
        <v>74</v>
      </c>
      <c r="D28" s="56" t="s">
        <v>30</v>
      </c>
      <c r="E28" s="61" t="s">
        <v>71</v>
      </c>
      <c r="F28" s="56" t="s">
        <v>23</v>
      </c>
      <c r="G28" s="61" t="s">
        <v>60</v>
      </c>
      <c r="H28" s="34" t="s">
        <v>82</v>
      </c>
      <c r="I28" s="39">
        <v>0</v>
      </c>
      <c r="J28" s="35" t="s">
        <v>82</v>
      </c>
      <c r="K28" s="67">
        <v>0</v>
      </c>
      <c r="L28" s="51">
        <v>15</v>
      </c>
      <c r="M28" s="31">
        <v>6</v>
      </c>
      <c r="N28" s="29">
        <v>19</v>
      </c>
      <c r="O28" s="71">
        <v>2</v>
      </c>
      <c r="P28" s="97">
        <f t="shared" si="0"/>
        <v>8</v>
      </c>
    </row>
    <row r="29" spans="1:16" ht="18.75">
      <c r="A29" s="48">
        <v>20</v>
      </c>
      <c r="B29" s="101">
        <v>110</v>
      </c>
      <c r="C29" s="61" t="s">
        <v>75</v>
      </c>
      <c r="D29" s="56" t="s">
        <v>26</v>
      </c>
      <c r="E29" s="61" t="s">
        <v>76</v>
      </c>
      <c r="F29" s="56" t="s">
        <v>77</v>
      </c>
      <c r="G29" s="61" t="s">
        <v>60</v>
      </c>
      <c r="H29" s="34" t="s">
        <v>82</v>
      </c>
      <c r="I29" s="39">
        <v>0</v>
      </c>
      <c r="J29" s="35" t="s">
        <v>82</v>
      </c>
      <c r="K29" s="67">
        <v>0</v>
      </c>
      <c r="L29" s="51">
        <v>20</v>
      </c>
      <c r="M29" s="31">
        <v>1</v>
      </c>
      <c r="N29" s="29">
        <v>15</v>
      </c>
      <c r="O29" s="71">
        <v>6</v>
      </c>
      <c r="P29" s="97">
        <f t="shared" si="0"/>
        <v>7</v>
      </c>
    </row>
    <row r="30" spans="1:16" ht="18.75">
      <c r="A30" s="48">
        <v>21</v>
      </c>
      <c r="B30" s="101">
        <v>85</v>
      </c>
      <c r="C30" s="61" t="s">
        <v>78</v>
      </c>
      <c r="D30" s="56" t="s">
        <v>26</v>
      </c>
      <c r="E30" s="61" t="s">
        <v>71</v>
      </c>
      <c r="F30" s="56" t="s">
        <v>23</v>
      </c>
      <c r="G30" s="61" t="s">
        <v>60</v>
      </c>
      <c r="H30" s="34" t="s">
        <v>82</v>
      </c>
      <c r="I30" s="39">
        <v>0</v>
      </c>
      <c r="J30" s="35" t="s">
        <v>82</v>
      </c>
      <c r="K30" s="67">
        <v>0</v>
      </c>
      <c r="L30" s="51">
        <v>16</v>
      </c>
      <c r="M30" s="31">
        <v>5</v>
      </c>
      <c r="N30" s="29">
        <v>20</v>
      </c>
      <c r="O30" s="71">
        <v>1</v>
      </c>
      <c r="P30" s="97">
        <f t="shared" si="0"/>
        <v>6</v>
      </c>
    </row>
    <row r="31" spans="1:16" ht="18.75">
      <c r="A31" s="48">
        <v>22</v>
      </c>
      <c r="B31" s="101">
        <v>82</v>
      </c>
      <c r="C31" s="61" t="s">
        <v>79</v>
      </c>
      <c r="D31" s="56" t="s">
        <v>30</v>
      </c>
      <c r="E31" s="61" t="s">
        <v>71</v>
      </c>
      <c r="F31" s="56" t="s">
        <v>23</v>
      </c>
      <c r="G31" s="61" t="s">
        <v>60</v>
      </c>
      <c r="H31" s="34" t="s">
        <v>82</v>
      </c>
      <c r="I31" s="39">
        <v>0</v>
      </c>
      <c r="J31" s="35" t="s">
        <v>82</v>
      </c>
      <c r="K31" s="67">
        <v>0</v>
      </c>
      <c r="L31" s="51">
        <v>18</v>
      </c>
      <c r="M31" s="31">
        <v>3</v>
      </c>
      <c r="N31" s="29">
        <v>18</v>
      </c>
      <c r="O31" s="71">
        <v>3</v>
      </c>
      <c r="P31" s="97">
        <f t="shared" si="0"/>
        <v>6</v>
      </c>
    </row>
    <row r="32" spans="1:16" ht="19.5" thickBot="1">
      <c r="A32" s="49">
        <v>23</v>
      </c>
      <c r="B32" s="102">
        <v>2</v>
      </c>
      <c r="C32" s="62" t="s">
        <v>80</v>
      </c>
      <c r="D32" s="57" t="s">
        <v>26</v>
      </c>
      <c r="E32" s="103" t="s">
        <v>58</v>
      </c>
      <c r="F32" s="57" t="s">
        <v>59</v>
      </c>
      <c r="G32" s="62" t="s">
        <v>81</v>
      </c>
      <c r="H32" s="41" t="s">
        <v>82</v>
      </c>
      <c r="I32" s="45">
        <v>0</v>
      </c>
      <c r="J32" s="44" t="s">
        <v>82</v>
      </c>
      <c r="K32" s="68">
        <v>0</v>
      </c>
      <c r="L32" s="52">
        <v>19</v>
      </c>
      <c r="M32" s="32">
        <v>2</v>
      </c>
      <c r="N32" s="43" t="s">
        <v>4</v>
      </c>
      <c r="O32" s="72">
        <v>0</v>
      </c>
      <c r="P32" s="98">
        <f t="shared" si="0"/>
        <v>2</v>
      </c>
    </row>
    <row r="34" spans="1:12" s="75" customFormat="1" ht="15.75">
      <c r="A34" s="78" t="s">
        <v>83</v>
      </c>
      <c r="B34" s="78"/>
      <c r="C34" s="78"/>
      <c r="D34" s="78"/>
      <c r="E34" s="78"/>
      <c r="F34" s="78"/>
      <c r="G34" s="78"/>
      <c r="H34" s="73"/>
      <c r="I34" s="73"/>
      <c r="J34" s="73"/>
      <c r="K34" s="73"/>
      <c r="L34" s="74"/>
    </row>
    <row r="35" spans="1:12" s="75" customFormat="1" ht="15.75">
      <c r="A35" s="73" t="s">
        <v>84</v>
      </c>
      <c r="B35" s="73"/>
      <c r="C35" s="73"/>
      <c r="D35" s="73"/>
      <c r="E35" s="73"/>
      <c r="F35" s="73"/>
      <c r="G35" s="73"/>
      <c r="H35" s="76"/>
      <c r="I35" s="76"/>
      <c r="J35" s="76"/>
      <c r="K35" s="76"/>
      <c r="L35" s="73"/>
    </row>
    <row r="36" spans="1:12" s="75" customFormat="1" ht="15.75">
      <c r="A36" s="78" t="s">
        <v>22</v>
      </c>
      <c r="B36" s="78"/>
      <c r="C36" s="78"/>
      <c r="D36" s="78"/>
      <c r="E36" s="78"/>
      <c r="F36" s="78"/>
      <c r="G36" s="78"/>
      <c r="H36" s="77"/>
      <c r="I36" s="77"/>
      <c r="J36" s="77"/>
      <c r="K36" s="77"/>
      <c r="L36" s="74"/>
    </row>
    <row r="37" spans="1:12" s="75" customFormat="1" ht="15.75">
      <c r="A37" s="73" t="s">
        <v>85</v>
      </c>
      <c r="B37" s="73"/>
      <c r="C37" s="73"/>
      <c r="D37" s="73"/>
      <c r="E37" s="73"/>
      <c r="F37" s="73"/>
      <c r="G37" s="73"/>
      <c r="H37" s="77"/>
      <c r="I37" s="77"/>
      <c r="J37" s="77"/>
      <c r="K37" s="77"/>
      <c r="L37" s="73"/>
    </row>
  </sheetData>
  <sheetProtection formatCells="0" formatColumns="0" formatRows="0" insertColumns="0" insertRows="0" insertHyperlinks="0" deleteColumns="0" deleteRows="0" autoFilter="0" pivotTables="0"/>
  <mergeCells count="28">
    <mergeCell ref="A1:Q1"/>
    <mergeCell ref="A2:Q2"/>
    <mergeCell ref="A7:A9"/>
    <mergeCell ref="Q7:Q9"/>
    <mergeCell ref="C7:C9"/>
    <mergeCell ref="I8:I9"/>
    <mergeCell ref="E7:E9"/>
    <mergeCell ref="K8:K9"/>
    <mergeCell ref="N7:O7"/>
    <mergeCell ref="L8:L9"/>
    <mergeCell ref="M8:M9"/>
    <mergeCell ref="A5:Q5"/>
    <mergeCell ref="H8:H9"/>
    <mergeCell ref="B7:B9"/>
    <mergeCell ref="J8:J9"/>
    <mergeCell ref="D7:D9"/>
    <mergeCell ref="N8:N9"/>
    <mergeCell ref="O8:O9"/>
    <mergeCell ref="A34:G34"/>
    <mergeCell ref="A36:G36"/>
    <mergeCell ref="A3:P3"/>
    <mergeCell ref="A4:Q4"/>
    <mergeCell ref="F7:F9"/>
    <mergeCell ref="G7:G9"/>
    <mergeCell ref="H7:I7"/>
    <mergeCell ref="J7:K7"/>
    <mergeCell ref="P7:P9"/>
    <mergeCell ref="L7:M7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N24:N32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7 N10:N23 L10:L32 J10:J17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Alex22</cp:lastModifiedBy>
  <cp:lastPrinted>2018-07-08T17:51:17Z</cp:lastPrinted>
  <dcterms:created xsi:type="dcterms:W3CDTF">1996-10-08T23:32:33Z</dcterms:created>
  <dcterms:modified xsi:type="dcterms:W3CDTF">2018-07-09T10:38:51Z</dcterms:modified>
  <cp:category/>
  <cp:version/>
  <cp:contentType/>
  <cp:contentStatus/>
</cp:coreProperties>
</file>